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o1\Desktop\All Stuff\WICT\Board\1Treasurer Stuff\2017\2017 Treasurer Reports\2017-11\"/>
    </mc:Choice>
  </mc:AlternateContent>
  <bookViews>
    <workbookView xWindow="480" yWindow="45" windowWidth="27795" windowHeight="12330"/>
  </bookViews>
  <sheets>
    <sheet name="2017 actuals" sheetId="1" r:id="rId1"/>
    <sheet name="Programming Grant" sheetId="2" r:id="rId2"/>
  </sheets>
  <calcPr calcId="152511"/>
</workbook>
</file>

<file path=xl/calcChain.xml><?xml version="1.0" encoding="utf-8"?>
<calcChain xmlns="http://schemas.openxmlformats.org/spreadsheetml/2006/main">
  <c r="G5" i="1" l="1"/>
  <c r="F42" i="1" l="1"/>
  <c r="J44" i="1"/>
  <c r="B58" i="1" l="1"/>
  <c r="G29" i="1"/>
  <c r="G38" i="1"/>
  <c r="G12" i="1" l="1"/>
  <c r="G31" i="1" l="1"/>
  <c r="G7" i="1"/>
  <c r="G37" i="1" l="1"/>
  <c r="G14" i="1"/>
  <c r="G39" i="1" l="1"/>
  <c r="G40" i="1" s="1"/>
  <c r="G15" i="1"/>
  <c r="G42" i="1" l="1"/>
  <c r="H1" i="1"/>
  <c r="F44" i="1"/>
  <c r="D38" i="1"/>
  <c r="B37" i="1"/>
  <c r="F37" i="1" s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D31" i="1"/>
  <c r="B31" i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3" i="1"/>
  <c r="H23" i="1" s="1"/>
  <c r="F21" i="1"/>
  <c r="E20" i="1"/>
  <c r="F20" i="1" s="1"/>
  <c r="H20" i="1" s="1"/>
  <c r="F19" i="1"/>
  <c r="H19" i="1" s="1"/>
  <c r="F18" i="1"/>
  <c r="H18" i="1" s="1"/>
  <c r="D15" i="1"/>
  <c r="B15" i="1"/>
  <c r="F13" i="1"/>
  <c r="H13" i="1" s="1"/>
  <c r="F12" i="1"/>
  <c r="H12" i="1" s="1"/>
  <c r="E11" i="1"/>
  <c r="F11" i="1" s="1"/>
  <c r="H11" i="1" s="1"/>
  <c r="F10" i="1"/>
  <c r="H10" i="1" s="1"/>
  <c r="F9" i="1"/>
  <c r="C8" i="1"/>
  <c r="F8" i="1" s="1"/>
  <c r="H8" i="1" s="1"/>
  <c r="C7" i="1"/>
  <c r="F7" i="1" s="1"/>
  <c r="H7" i="1" s="1"/>
  <c r="F6" i="1"/>
  <c r="H6" i="1" s="1"/>
  <c r="F5" i="1"/>
  <c r="H5" i="1" s="1"/>
  <c r="B40" i="1" l="1"/>
  <c r="B42" i="1"/>
  <c r="B45" i="1" s="1"/>
  <c r="F38" i="1"/>
  <c r="H38" i="1" s="1"/>
  <c r="E24" i="1"/>
  <c r="F24" i="1" s="1"/>
  <c r="H24" i="1" s="1"/>
  <c r="E15" i="1"/>
  <c r="D40" i="1"/>
  <c r="D42" i="1" s="1"/>
  <c r="D45" i="1" s="1"/>
  <c r="F15" i="1"/>
  <c r="C31" i="1"/>
  <c r="C15" i="1"/>
  <c r="E31" i="1"/>
  <c r="C22" i="1"/>
  <c r="E40" i="1" l="1"/>
  <c r="H15" i="1"/>
  <c r="E42" i="1"/>
  <c r="E45" i="1" s="1"/>
  <c r="F31" i="1"/>
  <c r="H31" i="1" s="1"/>
  <c r="C40" i="1"/>
  <c r="C42" i="1" s="1"/>
  <c r="C45" i="1" s="1"/>
  <c r="F22" i="1"/>
  <c r="H22" i="1" l="1"/>
  <c r="H40" i="1" s="1"/>
  <c r="H42" i="1" s="1"/>
  <c r="F40" i="1"/>
  <c r="F45" i="1" l="1"/>
</calcChain>
</file>

<file path=xl/sharedStrings.xml><?xml version="1.0" encoding="utf-8"?>
<sst xmlns="http://schemas.openxmlformats.org/spreadsheetml/2006/main" count="156" uniqueCount="123">
  <si>
    <t>WICT Virginia Chapter Budget</t>
  </si>
  <si>
    <t>Year 2017</t>
  </si>
  <si>
    <t>NOTES:</t>
  </si>
  <si>
    <t>REVENUE</t>
  </si>
  <si>
    <t>Q1</t>
  </si>
  <si>
    <t>Q2</t>
  </si>
  <si>
    <t>Q3</t>
  </si>
  <si>
    <t>Q4</t>
  </si>
  <si>
    <t>Total</t>
  </si>
  <si>
    <t xml:space="preserve">2017 Actual </t>
  </si>
  <si>
    <t>Bud vs Act</t>
  </si>
  <si>
    <t>Notes/Comments</t>
  </si>
  <si>
    <t>National Membership Allocations</t>
  </si>
  <si>
    <t>LAKIESHA/JENN</t>
  </si>
  <si>
    <t>Chapter Event Registration Fees</t>
  </si>
  <si>
    <t>Mentor Program</t>
  </si>
  <si>
    <t>KIM M/SHINESE</t>
  </si>
  <si>
    <t>JD Myers Event</t>
  </si>
  <si>
    <t>35 attendees @ $50 each</t>
  </si>
  <si>
    <t>NATHALIE C</t>
  </si>
  <si>
    <t>Tech It Out Event</t>
  </si>
  <si>
    <t>No expense - webinar</t>
  </si>
  <si>
    <t>TONI</t>
  </si>
  <si>
    <t>Floating Event</t>
  </si>
  <si>
    <t>ASHLEY/AMANDA</t>
  </si>
  <si>
    <t>Signature Event</t>
  </si>
  <si>
    <t>KIM V/TERRY E</t>
  </si>
  <si>
    <t>Sponsorships</t>
  </si>
  <si>
    <t>Time Warner Dividend Payouts</t>
  </si>
  <si>
    <t>No longer receive - requested payout from Charter</t>
  </si>
  <si>
    <t>SARAH F</t>
  </si>
  <si>
    <t>TOTAL REVENUE</t>
  </si>
  <si>
    <t>EXPENSES</t>
  </si>
  <si>
    <t>Programs/Courses</t>
  </si>
  <si>
    <t>Mentoring Kick-off Event</t>
  </si>
  <si>
    <t>includes books, food, etc.</t>
  </si>
  <si>
    <t>Mentoring Mid-Point Event</t>
  </si>
  <si>
    <t>Mentoring Celebratory Event</t>
  </si>
  <si>
    <t>part of Signature Event - costs are for books, certificates, registration for Signature breakfast for mentees etc.</t>
  </si>
  <si>
    <t>No revenue - webinar</t>
  </si>
  <si>
    <t>room and F&amp;B (90% of revenue)</t>
  </si>
  <si>
    <t>Speaker Gifts</t>
  </si>
  <si>
    <t>Donations to charities for speakers only (mentors not included) - based on 2 events and donations of $200 ea</t>
  </si>
  <si>
    <t>ANGELA</t>
  </si>
  <si>
    <t>Supplies</t>
  </si>
  <si>
    <t>Name Tags</t>
  </si>
  <si>
    <t>CHRISTINE</t>
  </si>
  <si>
    <t>Marketing Expenses</t>
  </si>
  <si>
    <t>Posters/Signage</t>
  </si>
  <si>
    <t>one poster for all events during the year</t>
  </si>
  <si>
    <t>SHINESE</t>
  </si>
  <si>
    <t>Constant Contact annual fee</t>
  </si>
  <si>
    <t>PayPal Fees</t>
  </si>
  <si>
    <t>fees estimated at 2.6% (based on history)</t>
  </si>
  <si>
    <t>Membership</t>
  </si>
  <si>
    <t>Tablecloths for membership tables at events</t>
  </si>
  <si>
    <t>Including under "Marketing Expense" in final budget</t>
  </si>
  <si>
    <t>Other</t>
  </si>
  <si>
    <t>Board Meeting</t>
  </si>
  <si>
    <t>Adding an additional in-person meeting mid-year - to hold at office of Christian &amp; Barton - budget for lunch/supplies</t>
  </si>
  <si>
    <t>Scholarships/Membership Giveback</t>
  </si>
  <si>
    <t>NC in April (1 spot) - $1,750 Registration + $1,500 Travel Cap</t>
  </si>
  <si>
    <t>WICT Leadership Conference Scholarships</t>
  </si>
  <si>
    <t>NY in September (4 spots) - $1,450 Registration + $2,000 Travel Cap</t>
  </si>
  <si>
    <t>TOTAL EXPENSES</t>
  </si>
  <si>
    <t>NET INCOME</t>
  </si>
  <si>
    <t>PAR Initiative</t>
  </si>
  <si>
    <t>35% (or more) of net revenue [Total Chapter Revenue less Total Chapter Expenses before PAR contribution]</t>
  </si>
  <si>
    <t>Unbudgeted Expenses:</t>
  </si>
  <si>
    <t>PAR Contribution 2016</t>
  </si>
  <si>
    <t>2016 Signature Breakfast expense paid in 2017</t>
  </si>
  <si>
    <t>2016 Board Meeting expenses paid in 2017</t>
  </si>
  <si>
    <t>Unbudgeted Revenue:</t>
  </si>
  <si>
    <t>Shentel 2016 Sponsorship (deposited 2017)</t>
  </si>
  <si>
    <t>BUDGET</t>
  </si>
  <si>
    <t>ACTUAL</t>
  </si>
  <si>
    <t>BUDGET VARIANCE:</t>
  </si>
  <si>
    <t>Money Market Interest</t>
  </si>
  <si>
    <t>Unbudgeted (See details below)</t>
  </si>
  <si>
    <t>WICT EDS Program Scholarship</t>
  </si>
  <si>
    <t>Shipping expense for additional board book</t>
  </si>
  <si>
    <t>Shentel payment from Nov 2016 JD Webinar</t>
  </si>
  <si>
    <t>From Common to Confident Book Event</t>
  </si>
  <si>
    <t>Devon</t>
  </si>
  <si>
    <t>Author/Leadership Coach</t>
  </si>
  <si>
    <t>Up to one hour - $1000, Up to 2 hours - $1700</t>
  </si>
  <si>
    <t>Toni</t>
  </si>
  <si>
    <t>Willie Jolley</t>
  </si>
  <si>
    <t>Kim</t>
  </si>
  <si>
    <t>Amanda</t>
  </si>
  <si>
    <t>Healthy Leader</t>
  </si>
  <si>
    <t>Speed-Networking</t>
  </si>
  <si>
    <t>Ropes Course/Teambuilding Workshop</t>
  </si>
  <si>
    <t>Nathalie</t>
  </si>
  <si>
    <t>Political Changes Panel</t>
  </si>
  <si>
    <t>SMEs from different companies</t>
  </si>
  <si>
    <t>*May fall under VCTA Conference</t>
  </si>
  <si>
    <t>Cliona</t>
  </si>
  <si>
    <t>2017 WICT Lapel Pins - attend a certain # of events</t>
  </si>
  <si>
    <t>$5000 toward publicity for events</t>
  </si>
  <si>
    <t>Golf Networking</t>
  </si>
  <si>
    <t>Angela</t>
  </si>
  <si>
    <t>Saude Creek Winery</t>
  </si>
  <si>
    <t>John Maxwell - Adrian Williams</t>
  </si>
  <si>
    <t>In-Person with book giveaway - July 2018</t>
  </si>
  <si>
    <t>October 2018</t>
  </si>
  <si>
    <t>Nurse, nutritionist, stylist, flu shots, etc.</t>
  </si>
  <si>
    <t>May 2018</t>
  </si>
  <si>
    <t>Consider for Board event</t>
  </si>
  <si>
    <t>Nathalie has golf pro friend</t>
  </si>
  <si>
    <t>Shenvalee</t>
  </si>
  <si>
    <t>Webinar - September 2018</t>
  </si>
  <si>
    <t>Michelle Singletary</t>
  </si>
  <si>
    <t>Saude Creek Winery?</t>
  </si>
  <si>
    <t>Media Buy</t>
  </si>
  <si>
    <t>*videography/photography</t>
  </si>
  <si>
    <t>Turn this into a Board event for 2019</t>
  </si>
  <si>
    <t>CRYSTAL/JOHN</t>
  </si>
  <si>
    <t>Budgeted 10 mentees @ $300 each - actually 12 mentees</t>
  </si>
  <si>
    <t>65 attendees @ $75 each  **we are raising to $85 this year</t>
  </si>
  <si>
    <t>Webinar 12/7 - Follow up In Person March 15</t>
  </si>
  <si>
    <t>just for speaker fee</t>
  </si>
  <si>
    <t>*Informed Nicole for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</si>
</sst>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1" applyFont="1"/>
    <xf numFmtId="0" fontId="4" fillId="0" borderId="0" xfId="1" applyFont="1"/>
    <xf numFmtId="0" fontId="1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44" fontId="8" fillId="2" borderId="1" xfId="2" applyFont="1" applyFill="1" applyBorder="1" applyAlignment="1">
      <alignment horizontal="left"/>
    </xf>
    <xf numFmtId="44" fontId="8" fillId="2" borderId="1" xfId="2" applyFont="1" applyFill="1" applyBorder="1" applyAlignment="1">
      <alignment horizontal="center"/>
    </xf>
    <xf numFmtId="44" fontId="8" fillId="3" borderId="1" xfId="2" applyFont="1" applyFill="1" applyBorder="1" applyAlignment="1">
      <alignment horizontal="center"/>
    </xf>
    <xf numFmtId="0" fontId="8" fillId="0" borderId="0" xfId="1" applyFont="1"/>
    <xf numFmtId="0" fontId="4" fillId="0" borderId="0" xfId="1" applyFont="1" applyFill="1"/>
    <xf numFmtId="44" fontId="4" fillId="0" borderId="0" xfId="2" applyFont="1" applyFill="1"/>
    <xf numFmtId="44" fontId="4" fillId="4" borderId="0" xfId="2" applyFont="1" applyFill="1"/>
    <xf numFmtId="44" fontId="4" fillId="3" borderId="0" xfId="2" applyFont="1" applyFill="1"/>
    <xf numFmtId="0" fontId="2" fillId="0" borderId="0" xfId="1" applyFont="1"/>
    <xf numFmtId="0" fontId="9" fillId="0" borderId="0" xfId="1" applyFont="1"/>
    <xf numFmtId="44" fontId="4" fillId="0" borderId="0" xfId="2" applyFont="1"/>
    <xf numFmtId="0" fontId="8" fillId="4" borderId="0" xfId="1" applyFont="1" applyFill="1"/>
    <xf numFmtId="44" fontId="8" fillId="4" borderId="2" xfId="2" applyFont="1" applyFill="1" applyBorder="1"/>
    <xf numFmtId="44" fontId="8" fillId="4" borderId="0" xfId="2" applyFont="1" applyFill="1" applyBorder="1"/>
    <xf numFmtId="44" fontId="8" fillId="2" borderId="0" xfId="2" applyFont="1" applyFill="1" applyBorder="1" applyAlignment="1">
      <alignment horizontal="center"/>
    </xf>
    <xf numFmtId="0" fontId="4" fillId="3" borderId="0" xfId="1" applyFont="1" applyFill="1"/>
    <xf numFmtId="0" fontId="2" fillId="0" borderId="0" xfId="1" applyFont="1" applyFill="1"/>
    <xf numFmtId="44" fontId="1" fillId="0" borderId="0" xfId="2" applyFont="1" applyFill="1"/>
    <xf numFmtId="0" fontId="2" fillId="0" borderId="0" xfId="1"/>
    <xf numFmtId="44" fontId="1" fillId="0" borderId="0" xfId="1" applyNumberFormat="1" applyFont="1"/>
    <xf numFmtId="0" fontId="10" fillId="0" borderId="0" xfId="1" applyFont="1"/>
    <xf numFmtId="44" fontId="10" fillId="0" borderId="0" xfId="3" applyFont="1"/>
    <xf numFmtId="0" fontId="12" fillId="0" borderId="0" xfId="1" applyFont="1"/>
    <xf numFmtId="44" fontId="12" fillId="0" borderId="0" xfId="3" applyFont="1"/>
    <xf numFmtId="44" fontId="4" fillId="4" borderId="0" xfId="2" applyFont="1" applyFill="1" applyProtection="1"/>
    <xf numFmtId="44" fontId="8" fillId="4" borderId="2" xfId="2" applyFont="1" applyFill="1" applyBorder="1" applyProtection="1"/>
    <xf numFmtId="44" fontId="8" fillId="2" borderId="1" xfId="2" applyFont="1" applyFill="1" applyBorder="1" applyAlignment="1" applyProtection="1">
      <alignment horizontal="center"/>
    </xf>
    <xf numFmtId="0" fontId="4" fillId="4" borderId="0" xfId="1" applyFont="1" applyFill="1" applyProtection="1"/>
    <xf numFmtId="0" fontId="0" fillId="0" borderId="0" xfId="1" applyFont="1" applyBorder="1" applyAlignment="1">
      <alignment horizontal="right"/>
    </xf>
    <xf numFmtId="44" fontId="11" fillId="0" borderId="0" xfId="1" applyNumberFormat="1" applyFont="1" applyBorder="1"/>
    <xf numFmtId="0" fontId="13" fillId="0" borderId="3" xfId="1" applyFont="1" applyBorder="1" applyAlignment="1">
      <alignment horizontal="right"/>
    </xf>
    <xf numFmtId="44" fontId="13" fillId="0" borderId="4" xfId="1" applyNumberFormat="1" applyFont="1" applyBorder="1"/>
    <xf numFmtId="44" fontId="12" fillId="0" borderId="0" xfId="2" applyFont="1"/>
    <xf numFmtId="44" fontId="12" fillId="4" borderId="0" xfId="2" applyFont="1" applyFill="1" applyProtection="1"/>
    <xf numFmtId="44" fontId="12" fillId="3" borderId="0" xfId="2" applyFont="1" applyFill="1"/>
    <xf numFmtId="44" fontId="10" fillId="0" borderId="0" xfId="2" applyFont="1" applyFill="1"/>
    <xf numFmtId="44" fontId="10" fillId="4" borderId="0" xfId="2" applyFont="1" applyFill="1" applyProtection="1"/>
    <xf numFmtId="44" fontId="10" fillId="3" borderId="0" xfId="2" applyFont="1" applyFill="1"/>
    <xf numFmtId="0" fontId="14" fillId="0" borderId="0" xfId="1" applyFont="1"/>
    <xf numFmtId="0" fontId="0" fillId="0" borderId="0" xfId="1" applyFont="1" applyAlignment="1">
      <alignment horizontal="right"/>
    </xf>
    <xf numFmtId="44" fontId="0" fillId="0" borderId="0" xfId="3" applyFont="1"/>
    <xf numFmtId="16" fontId="0" fillId="0" borderId="0" xfId="0" applyNumberFormat="1"/>
    <xf numFmtId="17" fontId="0" fillId="0" borderId="0" xfId="0" quotePrefix="1" applyNumberFormat="1"/>
    <xf numFmtId="0" fontId="0" fillId="0" borderId="0" xfId="0" quotePrefix="1"/>
    <xf numFmtId="0" fontId="0" fillId="0" borderId="0" xfId="1" applyFont="1"/>
    <xf numFmtId="44" fontId="4" fillId="5" borderId="0" xfId="2" applyFont="1" applyFill="1"/>
    <xf numFmtId="0" fontId="0" fillId="6" borderId="0" xfId="0" applyFill="1"/>
    <xf numFmtId="44" fontId="0" fillId="6" borderId="0" xfId="3" applyFont="1" applyFill="1"/>
  </cellXfs>
  <cellStyles count="4">
    <cellStyle name="Currency" xfId="3" builtinId="4"/>
    <cellStyle name="Currency 2" xfId="2"/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selection activeCell="G11" sqref="G11"/>
    </sheetView>
  </sheetViews>
  <sheetFormatPr defaultRowHeight="15" x14ac:dyDescent="0.25"/>
  <cols>
    <col min="1" max="1" width="42.5703125" style="3" bestFit="1" customWidth="1"/>
    <col min="2" max="3" width="11.5703125" style="3" bestFit="1" customWidth="1"/>
    <col min="4" max="4" width="12.28515625" style="3" bestFit="1" customWidth="1"/>
    <col min="5" max="5" width="11.28515625" style="3" bestFit="1" customWidth="1"/>
    <col min="6" max="6" width="12.140625" style="3" bestFit="1" customWidth="1"/>
    <col min="7" max="7" width="24.140625" style="3" bestFit="1" customWidth="1"/>
    <col min="8" max="8" width="16" style="3" bestFit="1" customWidth="1"/>
    <col min="9" max="9" width="98" style="3" bestFit="1" customWidth="1"/>
    <col min="10" max="10" width="16.7109375" style="3" bestFit="1" customWidth="1"/>
    <col min="11" max="11" width="68.5703125" style="3" customWidth="1"/>
    <col min="12" max="16384" width="9.140625" style="3"/>
  </cols>
  <sheetData>
    <row r="1" spans="1:11" ht="19.5" thickBot="1" x14ac:dyDescent="0.35">
      <c r="A1" s="1" t="s">
        <v>0</v>
      </c>
      <c r="D1" s="2"/>
      <c r="E1" s="2"/>
      <c r="F1" s="2"/>
      <c r="G1" s="37" t="s">
        <v>76</v>
      </c>
      <c r="H1" s="38">
        <f>G42</f>
        <v>9250.320000000007</v>
      </c>
    </row>
    <row r="2" spans="1:11" ht="18.75" x14ac:dyDescent="0.3">
      <c r="A2" s="1"/>
      <c r="B2" s="2"/>
      <c r="C2" s="2"/>
      <c r="D2" s="2"/>
      <c r="E2" s="2"/>
      <c r="F2" s="2"/>
      <c r="G2" s="35"/>
      <c r="H2" s="36"/>
    </row>
    <row r="3" spans="1:11" s="6" customFormat="1" ht="16.5" thickBot="1" x14ac:dyDescent="0.3">
      <c r="A3" s="4" t="s">
        <v>1</v>
      </c>
      <c r="B3" s="5"/>
      <c r="C3" s="5"/>
      <c r="D3" s="5"/>
      <c r="E3" s="5"/>
      <c r="F3" s="5" t="s">
        <v>74</v>
      </c>
      <c r="G3" s="5" t="s">
        <v>75</v>
      </c>
      <c r="H3" s="5"/>
      <c r="K3" s="6" t="s">
        <v>2</v>
      </c>
    </row>
    <row r="4" spans="1:11" ht="15.75" thickBot="1" x14ac:dyDescent="0.3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8" t="s">
        <v>11</v>
      </c>
    </row>
    <row r="5" spans="1:11" x14ac:dyDescent="0.25">
      <c r="A5" s="10" t="s">
        <v>12</v>
      </c>
      <c r="B5" s="11"/>
      <c r="C5" s="12">
        <v>2500</v>
      </c>
      <c r="D5" s="12">
        <v>750</v>
      </c>
      <c r="E5" s="12">
        <v>500</v>
      </c>
      <c r="F5" s="31">
        <f>SUM(B5:E5)</f>
        <v>3750</v>
      </c>
      <c r="G5" s="52">
        <f>3127.36+217.91+1732.44</f>
        <v>5077.71</v>
      </c>
      <c r="H5" s="14">
        <f>F5-G5</f>
        <v>-1327.71</v>
      </c>
      <c r="I5" s="15"/>
      <c r="J5" s="3" t="s">
        <v>13</v>
      </c>
    </row>
    <row r="6" spans="1:11" x14ac:dyDescent="0.25">
      <c r="A6" s="10" t="s">
        <v>14</v>
      </c>
      <c r="B6" s="11"/>
      <c r="C6" s="11"/>
      <c r="D6" s="11"/>
      <c r="E6" s="11"/>
      <c r="F6" s="31">
        <f t="shared" ref="F6:F13" si="0">SUM(B6:E6)</f>
        <v>0</v>
      </c>
      <c r="G6" s="14"/>
      <c r="H6" s="14">
        <f t="shared" ref="H6:H12" si="1">F6-G6</f>
        <v>0</v>
      </c>
    </row>
    <row r="7" spans="1:11" x14ac:dyDescent="0.25">
      <c r="A7" s="2" t="s">
        <v>15</v>
      </c>
      <c r="B7" s="11"/>
      <c r="C7" s="12">
        <f>10*300</f>
        <v>3000</v>
      </c>
      <c r="D7" s="11"/>
      <c r="E7" s="11"/>
      <c r="F7" s="31">
        <f t="shared" si="0"/>
        <v>3000</v>
      </c>
      <c r="G7" s="52">
        <f>891.04+298.97+597.94+597.94+298.97+298.97+598.24</f>
        <v>3582.0700000000006</v>
      </c>
      <c r="H7" s="14">
        <f t="shared" si="1"/>
        <v>-582.07000000000062</v>
      </c>
      <c r="I7" s="15" t="s">
        <v>118</v>
      </c>
      <c r="J7" s="3" t="s">
        <v>16</v>
      </c>
    </row>
    <row r="8" spans="1:11" x14ac:dyDescent="0.25">
      <c r="A8" s="2" t="s">
        <v>17</v>
      </c>
      <c r="B8" s="12"/>
      <c r="C8" s="12">
        <f>35*50</f>
        <v>1750</v>
      </c>
      <c r="D8" s="12"/>
      <c r="E8" s="12"/>
      <c r="F8" s="31">
        <f t="shared" si="0"/>
        <v>1750</v>
      </c>
      <c r="G8" s="52">
        <v>1732.44</v>
      </c>
      <c r="H8" s="14">
        <f t="shared" si="1"/>
        <v>17.559999999999945</v>
      </c>
      <c r="I8" s="15" t="s">
        <v>18</v>
      </c>
      <c r="J8" s="3" t="s">
        <v>19</v>
      </c>
    </row>
    <row r="9" spans="1:11" x14ac:dyDescent="0.25">
      <c r="A9" s="2" t="s">
        <v>20</v>
      </c>
      <c r="B9" s="12"/>
      <c r="C9" s="12"/>
      <c r="D9" s="12"/>
      <c r="E9" s="12"/>
      <c r="F9" s="31">
        <f t="shared" si="0"/>
        <v>0</v>
      </c>
      <c r="G9" s="52"/>
      <c r="H9" s="14"/>
      <c r="I9" s="15" t="s">
        <v>39</v>
      </c>
      <c r="J9" s="3" t="s">
        <v>22</v>
      </c>
    </row>
    <row r="10" spans="1:11" x14ac:dyDescent="0.25">
      <c r="A10" s="11" t="s">
        <v>23</v>
      </c>
      <c r="B10" s="11"/>
      <c r="C10" s="12"/>
      <c r="D10" s="12">
        <v>2800</v>
      </c>
      <c r="E10" s="11"/>
      <c r="F10" s="31">
        <f t="shared" si="0"/>
        <v>2800</v>
      </c>
      <c r="G10" s="52">
        <v>0</v>
      </c>
      <c r="H10" s="14">
        <f t="shared" si="1"/>
        <v>2800</v>
      </c>
      <c r="I10" s="15"/>
      <c r="J10" s="3" t="s">
        <v>24</v>
      </c>
    </row>
    <row r="11" spans="1:11" x14ac:dyDescent="0.25">
      <c r="A11" s="2" t="s">
        <v>25</v>
      </c>
      <c r="B11" s="11"/>
      <c r="C11" s="11"/>
      <c r="D11" s="11"/>
      <c r="E11" s="12">
        <f>65*75</f>
        <v>4875</v>
      </c>
      <c r="F11" s="31">
        <f t="shared" si="0"/>
        <v>4875</v>
      </c>
      <c r="G11" s="44">
        <v>7650</v>
      </c>
      <c r="H11" s="14">
        <f t="shared" si="1"/>
        <v>-2775</v>
      </c>
      <c r="I11" s="15" t="s">
        <v>119</v>
      </c>
      <c r="J11" s="3" t="s">
        <v>26</v>
      </c>
    </row>
    <row r="12" spans="1:11" x14ac:dyDescent="0.25">
      <c r="A12" s="10" t="s">
        <v>27</v>
      </c>
      <c r="B12" s="12">
        <v>5000</v>
      </c>
      <c r="C12" s="12">
        <v>10000</v>
      </c>
      <c r="D12" s="11"/>
      <c r="E12" s="11"/>
      <c r="F12" s="31">
        <f t="shared" si="0"/>
        <v>15000</v>
      </c>
      <c r="G12" s="14">
        <f>1000+1500+1500+1500+1500+3000+1500+1000+1000</f>
        <v>13500</v>
      </c>
      <c r="H12" s="14">
        <f t="shared" si="1"/>
        <v>1500</v>
      </c>
      <c r="I12" s="16"/>
      <c r="J12" s="51" t="s">
        <v>117</v>
      </c>
    </row>
    <row r="13" spans="1:11" x14ac:dyDescent="0.25">
      <c r="A13" s="10" t="s">
        <v>28</v>
      </c>
      <c r="B13" s="17"/>
      <c r="C13" s="17"/>
      <c r="D13" s="17"/>
      <c r="E13" s="17"/>
      <c r="F13" s="31">
        <f t="shared" si="0"/>
        <v>0</v>
      </c>
      <c r="G13" s="52">
        <v>210</v>
      </c>
      <c r="H13" s="14">
        <f>F13-G13</f>
        <v>-210</v>
      </c>
      <c r="I13" s="3" t="s">
        <v>29</v>
      </c>
      <c r="J13" s="3" t="s">
        <v>30</v>
      </c>
    </row>
    <row r="14" spans="1:11" s="29" customFormat="1" x14ac:dyDescent="0.25">
      <c r="A14" s="29" t="s">
        <v>78</v>
      </c>
      <c r="B14" s="39"/>
      <c r="C14" s="39"/>
      <c r="D14" s="39"/>
      <c r="E14" s="39"/>
      <c r="F14" s="40"/>
      <c r="G14" s="41">
        <f>SUM(B57:B61)</f>
        <v>1947.3</v>
      </c>
      <c r="H14" s="41"/>
    </row>
    <row r="15" spans="1:11" ht="15.75" thickBot="1" x14ac:dyDescent="0.3">
      <c r="A15" s="18" t="s">
        <v>31</v>
      </c>
      <c r="B15" s="19">
        <f>SUM(B5:B13)</f>
        <v>5000</v>
      </c>
      <c r="C15" s="19">
        <f>SUM(C5:C13)</f>
        <v>17250</v>
      </c>
      <c r="D15" s="19">
        <f>SUM(D5:D13)</f>
        <v>3550</v>
      </c>
      <c r="E15" s="19">
        <f>SUM(E5:E13)</f>
        <v>5375</v>
      </c>
      <c r="F15" s="32">
        <f>SUM(F5:F13)</f>
        <v>31175</v>
      </c>
      <c r="G15" s="20">
        <f>SUM(G5:G14)</f>
        <v>33699.520000000004</v>
      </c>
      <c r="H15" s="13">
        <f t="shared" ref="H15:H36" si="2">F15-G15</f>
        <v>-2524.5200000000041</v>
      </c>
    </row>
    <row r="16" spans="1:11" ht="16.5" thickTop="1" thickBot="1" x14ac:dyDescent="0.3">
      <c r="A16" s="7" t="s">
        <v>32</v>
      </c>
      <c r="B16" s="8" t="s">
        <v>4</v>
      </c>
      <c r="C16" s="8" t="s">
        <v>5</v>
      </c>
      <c r="D16" s="8" t="s">
        <v>6</v>
      </c>
      <c r="E16" s="8" t="s">
        <v>7</v>
      </c>
      <c r="F16" s="33" t="s">
        <v>8</v>
      </c>
      <c r="G16" s="21"/>
      <c r="H16" s="21"/>
    </row>
    <row r="17" spans="1:10" x14ac:dyDescent="0.25">
      <c r="A17" s="10" t="s">
        <v>33</v>
      </c>
      <c r="B17" s="2"/>
      <c r="C17" s="2"/>
      <c r="D17" s="2"/>
      <c r="E17" s="2"/>
      <c r="F17" s="34"/>
      <c r="G17" s="22"/>
      <c r="H17" s="14"/>
    </row>
    <row r="18" spans="1:10" x14ac:dyDescent="0.25">
      <c r="A18" s="2" t="s">
        <v>34</v>
      </c>
      <c r="B18" s="2"/>
      <c r="C18" s="12">
        <v>650</v>
      </c>
      <c r="D18" s="11"/>
      <c r="E18" s="11"/>
      <c r="F18" s="31">
        <f t="shared" ref="F18:F37" si="3">SUM(B18:E18)</f>
        <v>650</v>
      </c>
      <c r="G18" s="52">
        <v>953.16</v>
      </c>
      <c r="H18" s="14">
        <f t="shared" si="2"/>
        <v>-303.15999999999997</v>
      </c>
      <c r="I18" s="15" t="s">
        <v>35</v>
      </c>
      <c r="J18" s="3" t="s">
        <v>16</v>
      </c>
    </row>
    <row r="19" spans="1:10" x14ac:dyDescent="0.25">
      <c r="A19" s="2" t="s">
        <v>36</v>
      </c>
      <c r="B19" s="2"/>
      <c r="C19" s="11"/>
      <c r="D19" s="12">
        <v>800</v>
      </c>
      <c r="E19" s="11"/>
      <c r="F19" s="31">
        <f t="shared" si="3"/>
        <v>800</v>
      </c>
      <c r="G19" s="52">
        <v>405.74</v>
      </c>
      <c r="H19" s="14">
        <f t="shared" si="2"/>
        <v>394.26</v>
      </c>
      <c r="I19" s="23"/>
      <c r="J19" s="3" t="s">
        <v>16</v>
      </c>
    </row>
    <row r="20" spans="1:10" x14ac:dyDescent="0.25">
      <c r="A20" s="2" t="s">
        <v>37</v>
      </c>
      <c r="B20" s="2"/>
      <c r="C20" s="11"/>
      <c r="D20" s="11"/>
      <c r="E20" s="12">
        <f>250+75*10</f>
        <v>1000</v>
      </c>
      <c r="F20" s="31">
        <f t="shared" si="3"/>
        <v>1000</v>
      </c>
      <c r="G20" s="14">
        <v>195.7</v>
      </c>
      <c r="H20" s="14">
        <f t="shared" si="2"/>
        <v>804.3</v>
      </c>
      <c r="I20" s="15" t="s">
        <v>38</v>
      </c>
      <c r="J20" s="3" t="s">
        <v>16</v>
      </c>
    </row>
    <row r="21" spans="1:10" x14ac:dyDescent="0.25">
      <c r="A21" s="2" t="s">
        <v>20</v>
      </c>
      <c r="B21" s="2"/>
      <c r="C21" s="11"/>
      <c r="D21" s="11"/>
      <c r="E21" s="12"/>
      <c r="F21" s="31">
        <f t="shared" si="3"/>
        <v>0</v>
      </c>
      <c r="G21" s="52"/>
      <c r="H21" s="14"/>
      <c r="I21" s="15" t="s">
        <v>21</v>
      </c>
      <c r="J21" s="3" t="s">
        <v>22</v>
      </c>
    </row>
    <row r="22" spans="1:10" x14ac:dyDescent="0.25">
      <c r="A22" s="2" t="s">
        <v>17</v>
      </c>
      <c r="B22" s="17"/>
      <c r="C22" s="12">
        <f>+C8*0.8</f>
        <v>1400</v>
      </c>
      <c r="D22" s="12"/>
      <c r="E22" s="12"/>
      <c r="F22" s="31">
        <f t="shared" si="3"/>
        <v>1400</v>
      </c>
      <c r="G22" s="52">
        <v>2541.11</v>
      </c>
      <c r="H22" s="14">
        <f t="shared" si="2"/>
        <v>-1141.1100000000001</v>
      </c>
      <c r="I22" s="15" t="s">
        <v>40</v>
      </c>
      <c r="J22" s="3" t="s">
        <v>19</v>
      </c>
    </row>
    <row r="23" spans="1:10" x14ac:dyDescent="0.25">
      <c r="A23" s="11" t="s">
        <v>23</v>
      </c>
      <c r="B23" s="17"/>
      <c r="C23" s="24"/>
      <c r="D23" s="12">
        <v>3000</v>
      </c>
      <c r="E23" s="12"/>
      <c r="F23" s="31">
        <f t="shared" si="3"/>
        <v>3000</v>
      </c>
      <c r="G23" s="52"/>
      <c r="H23" s="14">
        <f t="shared" si="2"/>
        <v>3000</v>
      </c>
      <c r="I23" s="15"/>
      <c r="J23" s="3" t="s">
        <v>24</v>
      </c>
    </row>
    <row r="24" spans="1:10" x14ac:dyDescent="0.25">
      <c r="A24" s="2" t="s">
        <v>25</v>
      </c>
      <c r="B24" s="2"/>
      <c r="C24" s="11"/>
      <c r="D24" s="11"/>
      <c r="E24" s="12">
        <f>+E11*0.9</f>
        <v>4387.5</v>
      </c>
      <c r="F24" s="31">
        <f t="shared" si="3"/>
        <v>4387.5</v>
      </c>
      <c r="G24" s="14"/>
      <c r="H24" s="14">
        <f t="shared" si="2"/>
        <v>4387.5</v>
      </c>
      <c r="I24" s="15" t="s">
        <v>40</v>
      </c>
      <c r="J24" s="3" t="s">
        <v>26</v>
      </c>
    </row>
    <row r="25" spans="1:10" x14ac:dyDescent="0.25">
      <c r="A25" s="11" t="s">
        <v>41</v>
      </c>
      <c r="B25" s="17"/>
      <c r="C25" s="12"/>
      <c r="D25" s="12"/>
      <c r="E25" s="12">
        <v>400</v>
      </c>
      <c r="F25" s="31">
        <f t="shared" si="3"/>
        <v>400</v>
      </c>
      <c r="G25" s="14">
        <v>200</v>
      </c>
      <c r="H25" s="14">
        <f t="shared" si="2"/>
        <v>200</v>
      </c>
      <c r="I25" s="15" t="s">
        <v>42</v>
      </c>
      <c r="J25" s="3" t="s">
        <v>43</v>
      </c>
    </row>
    <row r="26" spans="1:10" x14ac:dyDescent="0.25">
      <c r="A26" s="10" t="s">
        <v>44</v>
      </c>
      <c r="B26" s="2"/>
      <c r="C26" s="11"/>
      <c r="D26" s="11"/>
      <c r="E26" s="11"/>
      <c r="F26" s="31">
        <f t="shared" si="3"/>
        <v>0</v>
      </c>
      <c r="G26" s="14"/>
      <c r="H26" s="14">
        <f t="shared" si="2"/>
        <v>0</v>
      </c>
      <c r="I26" s="15"/>
    </row>
    <row r="27" spans="1:10" x14ac:dyDescent="0.25">
      <c r="A27" s="2" t="s">
        <v>45</v>
      </c>
      <c r="B27" s="12">
        <v>25</v>
      </c>
      <c r="C27" s="12">
        <v>25</v>
      </c>
      <c r="D27" s="12"/>
      <c r="E27" s="12"/>
      <c r="F27" s="31">
        <f t="shared" si="3"/>
        <v>50</v>
      </c>
      <c r="G27" s="52">
        <v>33.119999999999997</v>
      </c>
      <c r="H27" s="14">
        <f t="shared" si="2"/>
        <v>16.880000000000003</v>
      </c>
      <c r="I27" s="15"/>
      <c r="J27" s="3" t="s">
        <v>46</v>
      </c>
    </row>
    <row r="28" spans="1:10" x14ac:dyDescent="0.25">
      <c r="A28" s="10" t="s">
        <v>47</v>
      </c>
      <c r="B28" s="11"/>
      <c r="C28" s="11"/>
      <c r="D28" s="11"/>
      <c r="E28" s="11"/>
      <c r="F28" s="31">
        <f t="shared" si="3"/>
        <v>0</v>
      </c>
      <c r="G28" s="22"/>
      <c r="H28" s="14">
        <f t="shared" si="2"/>
        <v>0</v>
      </c>
      <c r="I28" s="15"/>
    </row>
    <row r="29" spans="1:10" x14ac:dyDescent="0.25">
      <c r="A29" s="2" t="s">
        <v>48</v>
      </c>
      <c r="B29" s="12"/>
      <c r="C29" s="12">
        <v>175</v>
      </c>
      <c r="D29" s="12"/>
      <c r="E29" s="12"/>
      <c r="F29" s="31">
        <f t="shared" si="3"/>
        <v>175</v>
      </c>
      <c r="G29" s="52">
        <f>77.18+40.03+182.46</f>
        <v>299.67</v>
      </c>
      <c r="H29" s="14">
        <f t="shared" si="2"/>
        <v>-124.67000000000002</v>
      </c>
      <c r="I29" s="15" t="s">
        <v>49</v>
      </c>
      <c r="J29" s="3" t="s">
        <v>50</v>
      </c>
    </row>
    <row r="30" spans="1:10" x14ac:dyDescent="0.25">
      <c r="A30" s="2" t="s">
        <v>51</v>
      </c>
      <c r="B30" s="12">
        <v>378</v>
      </c>
      <c r="C30" s="12"/>
      <c r="D30" s="12"/>
      <c r="E30" s="12"/>
      <c r="F30" s="31">
        <f t="shared" si="3"/>
        <v>378</v>
      </c>
      <c r="G30" s="52">
        <v>378</v>
      </c>
      <c r="H30" s="14">
        <f t="shared" si="2"/>
        <v>0</v>
      </c>
      <c r="I30" s="15"/>
      <c r="J30" s="3" t="s">
        <v>50</v>
      </c>
    </row>
    <row r="31" spans="1:10" x14ac:dyDescent="0.25">
      <c r="A31" s="2" t="s">
        <v>52</v>
      </c>
      <c r="B31" s="12">
        <f>(SUM(B7:B11)-B11)*2.6%</f>
        <v>0</v>
      </c>
      <c r="C31" s="12">
        <f>(SUM(C7:C11)-C11)*2.6%</f>
        <v>123.50000000000001</v>
      </c>
      <c r="D31" s="12">
        <f>(SUM(D7:D11)-D11)*2.6%</f>
        <v>72.800000000000011</v>
      </c>
      <c r="E31" s="12">
        <f>(SUM(E7:E11)-E11)*2.6%</f>
        <v>0</v>
      </c>
      <c r="F31" s="31">
        <f t="shared" si="3"/>
        <v>196.3</v>
      </c>
      <c r="G31" s="52">
        <f>12.05+17.93</f>
        <v>29.98</v>
      </c>
      <c r="H31" s="14">
        <f t="shared" si="2"/>
        <v>166.32000000000002</v>
      </c>
      <c r="I31" s="15" t="s">
        <v>53</v>
      </c>
      <c r="J31" s="3" t="s">
        <v>30</v>
      </c>
    </row>
    <row r="32" spans="1:10" x14ac:dyDescent="0.25">
      <c r="A32" s="10" t="s">
        <v>54</v>
      </c>
      <c r="B32" s="12"/>
      <c r="C32" s="12"/>
      <c r="D32" s="12"/>
      <c r="E32" s="12"/>
      <c r="F32" s="31">
        <f t="shared" si="3"/>
        <v>0</v>
      </c>
      <c r="G32" s="14"/>
      <c r="H32" s="14">
        <f t="shared" si="2"/>
        <v>0</v>
      </c>
      <c r="I32" s="15"/>
    </row>
    <row r="33" spans="1:10" x14ac:dyDescent="0.25">
      <c r="A33" s="2" t="s">
        <v>55</v>
      </c>
      <c r="B33" s="12">
        <v>350</v>
      </c>
      <c r="C33" s="12"/>
      <c r="D33" s="12"/>
      <c r="E33" s="12"/>
      <c r="F33" s="31">
        <f t="shared" si="3"/>
        <v>350</v>
      </c>
      <c r="G33" s="52">
        <v>70</v>
      </c>
      <c r="H33" s="14">
        <f>F33-G33</f>
        <v>280</v>
      </c>
      <c r="I33" s="15" t="s">
        <v>56</v>
      </c>
      <c r="J33" s="3" t="s">
        <v>19</v>
      </c>
    </row>
    <row r="34" spans="1:10" x14ac:dyDescent="0.25">
      <c r="A34" s="10" t="s">
        <v>57</v>
      </c>
      <c r="B34" s="12"/>
      <c r="C34" s="12"/>
      <c r="D34" s="12"/>
      <c r="E34" s="12"/>
      <c r="F34" s="31">
        <f t="shared" si="3"/>
        <v>0</v>
      </c>
      <c r="G34" s="14"/>
      <c r="H34" s="14">
        <f t="shared" si="2"/>
        <v>0</v>
      </c>
      <c r="I34" s="15"/>
    </row>
    <row r="35" spans="1:10" x14ac:dyDescent="0.25">
      <c r="A35" s="2" t="s">
        <v>58</v>
      </c>
      <c r="B35" s="12"/>
      <c r="C35" s="12">
        <v>450</v>
      </c>
      <c r="D35" s="12"/>
      <c r="E35" s="12">
        <v>850</v>
      </c>
      <c r="F35" s="31">
        <f t="shared" si="3"/>
        <v>1300</v>
      </c>
      <c r="G35" s="14">
        <v>289.10000000000002</v>
      </c>
      <c r="H35" s="14">
        <f t="shared" si="2"/>
        <v>1010.9</v>
      </c>
      <c r="I35" s="15" t="s">
        <v>59</v>
      </c>
      <c r="J35" s="3" t="s">
        <v>26</v>
      </c>
    </row>
    <row r="36" spans="1:10" x14ac:dyDescent="0.25">
      <c r="A36" s="10" t="s">
        <v>60</v>
      </c>
      <c r="B36" s="12"/>
      <c r="C36" s="12"/>
      <c r="D36" s="12"/>
      <c r="E36" s="12"/>
      <c r="F36" s="31">
        <f t="shared" si="3"/>
        <v>0</v>
      </c>
      <c r="G36" s="14"/>
      <c r="H36" s="14">
        <f t="shared" si="2"/>
        <v>0</v>
      </c>
      <c r="I36" s="15"/>
    </row>
    <row r="37" spans="1:10" x14ac:dyDescent="0.25">
      <c r="A37" s="2" t="s">
        <v>79</v>
      </c>
      <c r="B37" s="12">
        <f>1750+1500</f>
        <v>3250</v>
      </c>
      <c r="C37" s="12"/>
      <c r="D37" s="12"/>
      <c r="E37" s="12"/>
      <c r="F37" s="31">
        <f t="shared" si="3"/>
        <v>3250</v>
      </c>
      <c r="G37" s="52">
        <f>1750+1367.69</f>
        <v>3117.69</v>
      </c>
      <c r="H37" s="14">
        <f>F37-G37</f>
        <v>132.30999999999995</v>
      </c>
      <c r="I37" s="15" t="s">
        <v>61</v>
      </c>
      <c r="J37" s="3" t="s">
        <v>43</v>
      </c>
    </row>
    <row r="38" spans="1:10" x14ac:dyDescent="0.25">
      <c r="A38" s="2" t="s">
        <v>62</v>
      </c>
      <c r="B38" s="2"/>
      <c r="C38" s="2"/>
      <c r="D38" s="12">
        <f>4*(1450+2000)</f>
        <v>13800</v>
      </c>
      <c r="E38" s="2"/>
      <c r="F38" s="31">
        <f>SUM(B38:E38)</f>
        <v>13800</v>
      </c>
      <c r="G38" s="52">
        <f>5800+633.3+529.6+265+520+4481.58+140+93.55+22.05+302</f>
        <v>12787.079999999998</v>
      </c>
      <c r="H38" s="14">
        <f>F38-G38</f>
        <v>1012.9200000000019</v>
      </c>
      <c r="I38" s="15" t="s">
        <v>63</v>
      </c>
      <c r="J38" s="3" t="s">
        <v>43</v>
      </c>
    </row>
    <row r="39" spans="1:10" s="27" customFormat="1" x14ac:dyDescent="0.25">
      <c r="A39" s="27" t="s">
        <v>78</v>
      </c>
      <c r="D39" s="42"/>
      <c r="F39" s="43"/>
      <c r="G39" s="44">
        <f>SUM(B48:B55)</f>
        <v>3148.8500000000004</v>
      </c>
      <c r="H39" s="44"/>
      <c r="I39" s="45"/>
    </row>
    <row r="40" spans="1:10" ht="15.75" thickBot="1" x14ac:dyDescent="0.3">
      <c r="A40" s="18" t="s">
        <v>64</v>
      </c>
      <c r="B40" s="19">
        <f>SUM(B17:B38)</f>
        <v>4003</v>
      </c>
      <c r="C40" s="19">
        <f>SUM(C17:C38)</f>
        <v>2823.5</v>
      </c>
      <c r="D40" s="19">
        <f>SUM(D17:D38)</f>
        <v>17672.8</v>
      </c>
      <c r="E40" s="19">
        <f>SUM(E17:E38)</f>
        <v>6637.5</v>
      </c>
      <c r="F40" s="32">
        <f>SUM(F17:F38)</f>
        <v>31136.799999999999</v>
      </c>
      <c r="G40" s="19">
        <f>SUM(G17:G39)</f>
        <v>24449.199999999997</v>
      </c>
      <c r="H40" s="19">
        <f>SUM(H17:H39)</f>
        <v>9836.4500000000007</v>
      </c>
    </row>
    <row r="41" spans="1:10" ht="16.5" thickTop="1" thickBot="1" x14ac:dyDescent="0.3">
      <c r="A41" s="7" t="s">
        <v>65</v>
      </c>
      <c r="B41" s="8" t="s">
        <v>4</v>
      </c>
      <c r="C41" s="8" t="s">
        <v>5</v>
      </c>
      <c r="D41" s="8" t="s">
        <v>6</v>
      </c>
      <c r="E41" s="8" t="s">
        <v>7</v>
      </c>
      <c r="F41" s="8" t="s">
        <v>8</v>
      </c>
      <c r="G41" s="21"/>
      <c r="H41" s="21"/>
    </row>
    <row r="42" spans="1:10" ht="15.75" thickBot="1" x14ac:dyDescent="0.3">
      <c r="A42" s="2"/>
      <c r="B42" s="19">
        <f t="shared" ref="B42:E42" si="4">+B15-B40</f>
        <v>997</v>
      </c>
      <c r="C42" s="19">
        <f t="shared" si="4"/>
        <v>14426.5</v>
      </c>
      <c r="D42" s="19">
        <f t="shared" si="4"/>
        <v>-14122.8</v>
      </c>
      <c r="E42" s="19">
        <f t="shared" si="4"/>
        <v>-1262.5</v>
      </c>
      <c r="F42" s="19">
        <f>+F15-F40</f>
        <v>38.200000000000728</v>
      </c>
      <c r="G42" s="19">
        <f>+G15-G40</f>
        <v>9250.320000000007</v>
      </c>
      <c r="H42" s="19">
        <f>+H15-H40</f>
        <v>-12360.970000000005</v>
      </c>
    </row>
    <row r="43" spans="1:10" s="25" customFormat="1" ht="7.5" customHeight="1" thickTop="1" x14ac:dyDescent="0.2"/>
    <row r="44" spans="1:10" x14ac:dyDescent="0.25">
      <c r="A44" s="2" t="s">
        <v>66</v>
      </c>
      <c r="B44" s="2"/>
      <c r="C44" s="2"/>
      <c r="D44" s="2"/>
      <c r="E44" s="12">
        <v>1000</v>
      </c>
      <c r="F44" s="13">
        <f>SUM(B44:E44)</f>
        <v>1000</v>
      </c>
      <c r="G44" s="52">
        <v>1500</v>
      </c>
      <c r="H44" s="13"/>
      <c r="I44" s="15" t="s">
        <v>67</v>
      </c>
      <c r="J44" s="26">
        <f>(F42)*0.35</f>
        <v>13.370000000000253</v>
      </c>
    </row>
    <row r="45" spans="1:10" ht="15.75" thickBot="1" x14ac:dyDescent="0.3">
      <c r="A45" s="10"/>
      <c r="B45" s="19">
        <f>+B42-B44</f>
        <v>997</v>
      </c>
      <c r="C45" s="19">
        <f>+C42-C44</f>
        <v>14426.5</v>
      </c>
      <c r="D45" s="19">
        <f>+D42-D44</f>
        <v>-14122.8</v>
      </c>
      <c r="E45" s="19">
        <f>+E42-E44</f>
        <v>-2262.5</v>
      </c>
      <c r="F45" s="19">
        <f>+F42-F44</f>
        <v>-961.79999999999927</v>
      </c>
      <c r="G45" s="20"/>
      <c r="H45" s="20"/>
    </row>
    <row r="46" spans="1:10" ht="15.75" thickTop="1" x14ac:dyDescent="0.25">
      <c r="A46" s="2"/>
      <c r="B46" s="2"/>
      <c r="C46" s="2"/>
      <c r="D46" s="2"/>
      <c r="E46" s="2"/>
      <c r="F46" s="2"/>
      <c r="G46" s="2"/>
      <c r="H46" s="2"/>
    </row>
    <row r="47" spans="1:10" x14ac:dyDescent="0.25">
      <c r="A47" s="27" t="s">
        <v>68</v>
      </c>
      <c r="B47" s="28"/>
      <c r="C47" s="2"/>
      <c r="D47" s="2"/>
      <c r="E47" s="2"/>
      <c r="F47" s="2"/>
      <c r="G47" s="2"/>
      <c r="H47" s="2"/>
    </row>
    <row r="48" spans="1:10" x14ac:dyDescent="0.25">
      <c r="A48" s="27" t="s">
        <v>69</v>
      </c>
      <c r="B48" s="28">
        <v>1500</v>
      </c>
      <c r="C48" s="26"/>
      <c r="D48" s="26"/>
      <c r="E48" s="26"/>
      <c r="G48" s="46"/>
      <c r="H48" s="26"/>
    </row>
    <row r="49" spans="1:5" x14ac:dyDescent="0.25">
      <c r="A49" s="27" t="s">
        <v>71</v>
      </c>
      <c r="B49" s="28">
        <v>948.44</v>
      </c>
      <c r="C49" s="26"/>
      <c r="D49" s="26"/>
      <c r="E49" s="26"/>
    </row>
    <row r="50" spans="1:5" x14ac:dyDescent="0.25">
      <c r="A50" s="27" t="s">
        <v>70</v>
      </c>
      <c r="B50" s="28">
        <v>517.13</v>
      </c>
    </row>
    <row r="51" spans="1:5" x14ac:dyDescent="0.25">
      <c r="A51" s="27" t="s">
        <v>80</v>
      </c>
      <c r="B51" s="28">
        <v>8.5</v>
      </c>
    </row>
    <row r="52" spans="1:5" x14ac:dyDescent="0.25">
      <c r="A52" s="27" t="s">
        <v>82</v>
      </c>
      <c r="B52" s="28">
        <v>174.78</v>
      </c>
    </row>
    <row r="53" spans="1:5" x14ac:dyDescent="0.25">
      <c r="A53" s="27"/>
      <c r="B53" s="28"/>
    </row>
    <row r="54" spans="1:5" x14ac:dyDescent="0.25">
      <c r="A54" s="27"/>
      <c r="B54" s="28"/>
    </row>
    <row r="55" spans="1:5" x14ac:dyDescent="0.25">
      <c r="A55" s="27"/>
      <c r="B55" s="28"/>
    </row>
    <row r="56" spans="1:5" x14ac:dyDescent="0.25">
      <c r="A56" s="29" t="s">
        <v>72</v>
      </c>
      <c r="B56" s="30"/>
    </row>
    <row r="57" spans="1:5" x14ac:dyDescent="0.25">
      <c r="A57" s="29" t="s">
        <v>73</v>
      </c>
      <c r="B57" s="30">
        <v>1500</v>
      </c>
    </row>
    <row r="58" spans="1:5" x14ac:dyDescent="0.25">
      <c r="A58" s="29" t="s">
        <v>77</v>
      </c>
      <c r="B58" s="30">
        <f>0.77+0.85+0.05+0.77+0.82+0.86+0.85+0.86+0.82+0.85</f>
        <v>7.5</v>
      </c>
    </row>
    <row r="59" spans="1:5" x14ac:dyDescent="0.25">
      <c r="A59" s="29" t="s">
        <v>81</v>
      </c>
      <c r="B59" s="30">
        <v>439.8</v>
      </c>
    </row>
    <row r="60" spans="1:5" x14ac:dyDescent="0.25">
      <c r="A60" s="29"/>
      <c r="B60" s="30"/>
    </row>
    <row r="61" spans="1:5" x14ac:dyDescent="0.25">
      <c r="A61" s="27"/>
      <c r="B61" s="28"/>
    </row>
    <row r="62" spans="1:5" x14ac:dyDescent="0.25">
      <c r="A62" s="27"/>
      <c r="B62" s="28"/>
    </row>
    <row r="63" spans="1:5" x14ac:dyDescent="0.25">
      <c r="A63" s="27"/>
      <c r="B63" s="28"/>
    </row>
    <row r="64" spans="1:5" x14ac:dyDescent="0.25">
      <c r="A64" s="27"/>
      <c r="B64" s="27"/>
    </row>
    <row r="65" spans="1:2" x14ac:dyDescent="0.25">
      <c r="A65" s="27"/>
      <c r="B65" s="27"/>
    </row>
  </sheetData>
  <sheetProtection formatCells="0" formatColumns="0" formatRows="0" insertColumns="0" insertRows="0" insertHyperlinks="0" deleteColumns="0" deleteRows="0" sort="0" autoFilter="0" pivotTables="0"/>
  <conditionalFormatting sqref="H1:H2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B9" sqref="B9"/>
    </sheetView>
  </sheetViews>
  <sheetFormatPr defaultRowHeight="15" x14ac:dyDescent="0.25"/>
  <cols>
    <col min="1" max="1" width="11.5703125" bestFit="1" customWidth="1"/>
    <col min="2" max="2" width="46" bestFit="1" customWidth="1"/>
    <col min="3" max="3" width="29.28515625" bestFit="1" customWidth="1"/>
    <col min="4" max="4" width="41.140625" bestFit="1" customWidth="1"/>
    <col min="5" max="5" width="40.85546875" bestFit="1" customWidth="1"/>
    <col min="6" max="6" width="31.28515625" bestFit="1" customWidth="1"/>
    <col min="7" max="7" width="11.5703125" style="47" bestFit="1" customWidth="1"/>
  </cols>
  <sheetData>
    <row r="1" spans="1:8" x14ac:dyDescent="0.25">
      <c r="A1" s="47">
        <v>25000</v>
      </c>
    </row>
    <row r="3" spans="1:8" x14ac:dyDescent="0.25">
      <c r="A3" t="s">
        <v>83</v>
      </c>
      <c r="B3" t="s">
        <v>103</v>
      </c>
      <c r="C3" t="s">
        <v>84</v>
      </c>
      <c r="D3" t="s">
        <v>120</v>
      </c>
      <c r="E3" t="s">
        <v>85</v>
      </c>
      <c r="F3" s="48">
        <v>43076</v>
      </c>
      <c r="G3" s="47">
        <v>10000</v>
      </c>
    </row>
    <row r="4" spans="1:8" s="53" customFormat="1" x14ac:dyDescent="0.25">
      <c r="A4" s="53" t="s">
        <v>86</v>
      </c>
      <c r="B4" s="53" t="s">
        <v>87</v>
      </c>
      <c r="D4" s="53" t="s">
        <v>104</v>
      </c>
      <c r="E4" s="53" t="s">
        <v>113</v>
      </c>
      <c r="G4" s="54">
        <v>20000</v>
      </c>
      <c r="H4" s="53" t="s">
        <v>121</v>
      </c>
    </row>
    <row r="5" spans="1:8" x14ac:dyDescent="0.25">
      <c r="A5" t="s">
        <v>88</v>
      </c>
      <c r="B5" t="s">
        <v>114</v>
      </c>
      <c r="E5" t="s">
        <v>99</v>
      </c>
    </row>
    <row r="6" spans="1:8" x14ac:dyDescent="0.25">
      <c r="A6" t="s">
        <v>89</v>
      </c>
      <c r="B6" t="s">
        <v>90</v>
      </c>
      <c r="C6" t="s">
        <v>106</v>
      </c>
      <c r="D6" s="49" t="s">
        <v>105</v>
      </c>
    </row>
    <row r="7" spans="1:8" x14ac:dyDescent="0.25">
      <c r="A7" t="s">
        <v>89</v>
      </c>
      <c r="B7" t="s">
        <v>91</v>
      </c>
    </row>
    <row r="8" spans="1:8" x14ac:dyDescent="0.25">
      <c r="A8" t="s">
        <v>86</v>
      </c>
      <c r="B8" t="s">
        <v>92</v>
      </c>
      <c r="D8" s="50"/>
      <c r="E8" t="s">
        <v>116</v>
      </c>
    </row>
    <row r="9" spans="1:8" x14ac:dyDescent="0.25">
      <c r="A9" t="s">
        <v>93</v>
      </c>
      <c r="B9" t="s">
        <v>94</v>
      </c>
      <c r="C9" t="s">
        <v>95</v>
      </c>
      <c r="F9" t="s">
        <v>96</v>
      </c>
    </row>
    <row r="10" spans="1:8" x14ac:dyDescent="0.25">
      <c r="A10" t="s">
        <v>97</v>
      </c>
      <c r="B10" t="s">
        <v>98</v>
      </c>
    </row>
    <row r="11" spans="1:8" x14ac:dyDescent="0.25">
      <c r="A11" t="s">
        <v>101</v>
      </c>
      <c r="B11" t="s">
        <v>100</v>
      </c>
      <c r="C11" t="s">
        <v>109</v>
      </c>
      <c r="D11" s="50" t="s">
        <v>107</v>
      </c>
      <c r="E11" t="s">
        <v>110</v>
      </c>
      <c r="F11" t="s">
        <v>122</v>
      </c>
    </row>
    <row r="12" spans="1:8" x14ac:dyDescent="0.25">
      <c r="A12" t="s">
        <v>97</v>
      </c>
      <c r="B12" t="s">
        <v>102</v>
      </c>
      <c r="E12" t="s">
        <v>108</v>
      </c>
    </row>
    <row r="13" spans="1:8" x14ac:dyDescent="0.25">
      <c r="A13" t="s">
        <v>97</v>
      </c>
      <c r="B13" t="s">
        <v>112</v>
      </c>
      <c r="D13" t="s">
        <v>111</v>
      </c>
    </row>
    <row r="15" spans="1:8" x14ac:dyDescent="0.25">
      <c r="B15" t="s">
        <v>115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59F0A87E2A3D49883DF8CA81A3CED5" ma:contentTypeVersion="1" ma:contentTypeDescription="Create a new document." ma:contentTypeScope="" ma:versionID="cbbb02dffb7ce370428895e8bb07b7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C106B4F-2974-4FBC-B831-FE5231619ADB}"/>
</file>

<file path=customXml/itemProps2.xml><?xml version="1.0" encoding="utf-8"?>
<ds:datastoreItem xmlns:ds="http://schemas.openxmlformats.org/officeDocument/2006/customXml" ds:itemID="{FBB6D866-3887-4134-B82A-4E0AA97732EB}"/>
</file>

<file path=customXml/itemProps3.xml><?xml version="1.0" encoding="utf-8"?>
<ds:datastoreItem xmlns:ds="http://schemas.openxmlformats.org/officeDocument/2006/customXml" ds:itemID="{A943EFDD-F62E-4757-9A3B-D926A859F6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 actuals</vt:lpstr>
      <vt:lpstr>Programming Grant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Fromme</dc:creator>
  <cp:lastModifiedBy>Sarah Fromme</cp:lastModifiedBy>
  <dcterms:created xsi:type="dcterms:W3CDTF">2016-12-22T16:52:58Z</dcterms:created>
  <dcterms:modified xsi:type="dcterms:W3CDTF">2017-11-14T17:43:22Z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0x0101006459F0A87E2A3D49883DF8CA81A3CED5</vt:lpwstr>
  </property>
</Properties>
</file>